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lawareliving-my.sharepoint.com/personal/kshilling_keystonefunding_com/Documents/Documents/"/>
    </mc:Choice>
  </mc:AlternateContent>
  <xr:revisionPtr revIDLastSave="0" documentId="8_{23AB2A87-D2E9-40D2-AB18-C5EDDA2BAAB2}" xr6:coauthVersionLast="47" xr6:coauthVersionMax="47" xr10:uidLastSave="{00000000-0000-0000-0000-000000000000}"/>
  <bookViews>
    <workbookView xWindow="-120" yWindow="-120" windowWidth="29040" windowHeight="15840" xr2:uid="{4BDDE5D4-41A7-479B-9C04-4FA4EE5B8B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B28" i="1"/>
  <c r="D28" i="1" s="1"/>
  <c r="F23" i="1"/>
  <c r="B23" i="1"/>
  <c r="D23" i="1" s="1"/>
  <c r="F22" i="1"/>
  <c r="B22" i="1"/>
  <c r="D22" i="1" s="1"/>
  <c r="F17" i="1"/>
  <c r="B17" i="1"/>
  <c r="D17" i="1" s="1"/>
  <c r="F16" i="1"/>
  <c r="B16" i="1"/>
  <c r="D16" i="1" s="1"/>
  <c r="D10" i="1"/>
  <c r="D9" i="1"/>
  <c r="C17" i="1" s="1"/>
  <c r="C23" i="1" l="1"/>
  <c r="E17" i="1"/>
  <c r="G17" i="1" s="1"/>
  <c r="E23" i="1"/>
  <c r="G23" i="1" s="1"/>
  <c r="C22" i="1"/>
  <c r="C28" i="1"/>
  <c r="E28" i="1" s="1"/>
  <c r="G28" i="1" s="1"/>
  <c r="G29" i="1" s="1"/>
  <c r="C16" i="1"/>
  <c r="E16" i="1"/>
  <c r="G16" i="1" s="1"/>
  <c r="E22" i="1"/>
  <c r="G22" i="1" s="1"/>
  <c r="G24" i="1" l="1"/>
  <c r="G18" i="1"/>
</calcChain>
</file>

<file path=xl/sharedStrings.xml><?xml version="1.0" encoding="utf-8"?>
<sst xmlns="http://schemas.openxmlformats.org/spreadsheetml/2006/main" count="31" uniqueCount="18">
  <si>
    <t>Loan amount</t>
  </si>
  <si>
    <t>Interest Rate (Annual)</t>
  </si>
  <si>
    <t>(ex: .05 is 5%)</t>
  </si>
  <si>
    <t>Loan period in years</t>
  </si>
  <si>
    <t># of payments per year</t>
  </si>
  <si>
    <t>Monthly Payment</t>
  </si>
  <si>
    <t>Total Payments</t>
  </si>
  <si>
    <t>Interest Rate</t>
  </si>
  <si>
    <t>Payment</t>
  </si>
  <si>
    <t>Monthly Subsidy</t>
  </si>
  <si>
    <t># of Payments</t>
  </si>
  <si>
    <t>Annual Subsidy Pymnts</t>
  </si>
  <si>
    <t>2-1 BUY DOWN</t>
  </si>
  <si>
    <t>2/1 Buydown Cost</t>
  </si>
  <si>
    <t>1-1 BUY DOWN</t>
  </si>
  <si>
    <t>1/1 Buydown Cost</t>
  </si>
  <si>
    <t>1-0 BUY DOWN</t>
  </si>
  <si>
    <t>1/0 Buydown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</si>
</sst>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%"/>
    <numFmt numFmtId="166" formatCode="&quot;$&quot;#,##0.00"/>
  </numFmts>
  <fonts count="7" x14ac:knownFonts="1">
    <font>
      <sz val="11"/>
      <color theme="1"/>
      <name val="Aptos Narrow"/>
      <family val="2"/>
      <scheme val="minor"/>
    </font>
    <font>
      <sz val="14"/>
      <color rgb="FF000000"/>
      <name val="Aptos Narrow"/>
      <family val="2"/>
      <scheme val="minor"/>
    </font>
    <font>
      <sz val="14"/>
      <color rgb="FF002E3C"/>
      <name val="Calibri"/>
      <family val="2"/>
    </font>
    <font>
      <sz val="14"/>
      <color rgb="FF002E3C"/>
      <name val="Arial"/>
      <family val="2"/>
    </font>
    <font>
      <sz val="14"/>
      <color theme="1"/>
      <name val="Calibri"/>
      <family val="2"/>
    </font>
    <font>
      <i/>
      <sz val="14"/>
      <color rgb="FFFF0000"/>
      <name val="Aptos Narrow"/>
      <family val="2"/>
      <scheme val="minor"/>
    </font>
    <font>
      <sz val="1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3DE95"/>
        <bgColor rgb="FF808080"/>
      </patternFill>
    </fill>
    <fill>
      <patternFill patternType="solid">
        <fgColor rgb="FF43DE95"/>
        <bgColor indexed="64"/>
      </patternFill>
    </fill>
    <fill>
      <patternFill patternType="solid">
        <fgColor rgb="FFFACD76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medium">
        <color rgb="FF002E3C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164" fontId="4" fillId="4" borderId="4" xfId="0" applyNumberFormat="1" applyFont="1" applyFill="1" applyBorder="1" applyAlignment="1" applyProtection="1">
      <alignment horizontal="right"/>
      <protection locked="0"/>
    </xf>
    <xf numFmtId="0" fontId="1" fillId="0" borderId="0" xfId="0" applyFont="1"/>
    <xf numFmtId="165" fontId="4" fillId="4" borderId="4" xfId="0" applyNumberFormat="1" applyFont="1" applyFill="1" applyBorder="1" applyAlignment="1" applyProtection="1">
      <alignment horizontal="right"/>
      <protection locked="0"/>
    </xf>
    <xf numFmtId="0" fontId="5" fillId="0" borderId="0" xfId="0" applyFont="1"/>
    <xf numFmtId="0" fontId="4" fillId="4" borderId="4" xfId="0" applyFont="1" applyFill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166" fontId="4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49" fontId="4" fillId="0" borderId="0" xfId="0" applyNumberFormat="1" applyFont="1"/>
    <xf numFmtId="2" fontId="2" fillId="0" borderId="4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/>
    <xf numFmtId="165" fontId="2" fillId="0" borderId="4" xfId="0" applyNumberFormat="1" applyFont="1" applyBorder="1" applyAlignment="1">
      <alignment horizontal="right"/>
    </xf>
    <xf numFmtId="166" fontId="2" fillId="0" borderId="4" xfId="0" applyNumberFormat="1" applyFont="1" applyBorder="1"/>
    <xf numFmtId="166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6" fontId="2" fillId="2" borderId="4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/>
    <xf numFmtId="165" fontId="4" fillId="0" borderId="4" xfId="0" applyNumberFormat="1" applyFont="1" applyBorder="1" applyAlignment="1">
      <alignment horizontal="right"/>
    </xf>
    <xf numFmtId="166" fontId="4" fillId="0" borderId="4" xfId="0" applyNumberFormat="1" applyFont="1" applyBorder="1" applyAlignment="1">
      <alignment horizontal="center"/>
    </xf>
    <xf numFmtId="166" fontId="6" fillId="5" borderId="0" xfId="0" applyNumberFormat="1" applyFont="1" applyFill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3" fillId="3" borderId="5" xfId="0" applyFont="1" applyFill="1" applyBorder="1"/>
    <xf numFmtId="0" fontId="3" fillId="3" borderId="3" xfId="0" applyFont="1" applyFill="1" applyBorder="1"/>
    <xf numFmtId="2" fontId="2" fillId="2" borderId="2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1000125</xdr:colOff>
      <xdr:row>3</xdr:row>
      <xdr:rowOff>63500</xdr:rowOff>
    </xdr:to>
    <xdr:pic>
      <xdr:nvPicPr>
        <xdr:cNvPr id="2" name="Picture 1" descr="A logo for a company&#10;&#10;AI-generated content may be incorrect.">
          <a:extLst>
            <a:ext uri="{FF2B5EF4-FFF2-40B4-BE49-F238E27FC236}">
              <a16:creationId xmlns:a16="http://schemas.microsoft.com/office/drawing/2014/main" id="{E9DB3CC1-F966-4BBE-93FF-985B92CFB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1000125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9BE42-ADA9-4F33-8FDA-B13F0E10A8C1}">
  <dimension ref="A5:G29"/>
  <sheetViews>
    <sheetView tabSelected="1" workbookViewId="0">
      <selection activeCell="L19" sqref="L19"/>
    </sheetView>
  </sheetViews>
  <sheetFormatPr defaultRowHeight="15" x14ac:dyDescent="0.25"/>
  <cols>
    <col min="2" max="2" width="15.5703125" bestFit="1" customWidth="1"/>
    <col min="3" max="4" width="12.7109375" bestFit="1" customWidth="1"/>
    <col min="5" max="5" width="20" bestFit="1" customWidth="1"/>
    <col min="6" max="6" width="17" bestFit="1" customWidth="1"/>
    <col min="7" max="7" width="27.5703125" bestFit="1" customWidth="1"/>
  </cols>
  <sheetData>
    <row r="5" spans="1:7" ht="18.75" x14ac:dyDescent="0.3">
      <c r="A5" s="1"/>
      <c r="B5" s="30" t="s">
        <v>0</v>
      </c>
      <c r="C5" s="28"/>
      <c r="D5" s="2">
        <v>500000</v>
      </c>
      <c r="E5" s="3"/>
      <c r="F5" s="3"/>
      <c r="G5" s="3"/>
    </row>
    <row r="6" spans="1:7" ht="18.75" x14ac:dyDescent="0.3">
      <c r="A6" s="1"/>
      <c r="B6" s="30" t="s">
        <v>1</v>
      </c>
      <c r="C6" s="28"/>
      <c r="D6" s="4">
        <v>6.5000000000000002E-2</v>
      </c>
      <c r="E6" s="5" t="s">
        <v>2</v>
      </c>
      <c r="F6" s="3"/>
      <c r="G6" s="3"/>
    </row>
    <row r="7" spans="1:7" ht="18.75" x14ac:dyDescent="0.3">
      <c r="A7" s="1"/>
      <c r="B7" s="30" t="s">
        <v>3</v>
      </c>
      <c r="C7" s="28"/>
      <c r="D7" s="6">
        <v>30</v>
      </c>
      <c r="E7" s="3"/>
      <c r="F7" s="3"/>
      <c r="G7" s="3"/>
    </row>
    <row r="8" spans="1:7" ht="18.75" x14ac:dyDescent="0.3">
      <c r="A8" s="1"/>
      <c r="B8" s="30" t="s">
        <v>4</v>
      </c>
      <c r="C8" s="31"/>
      <c r="D8" s="7">
        <v>12</v>
      </c>
      <c r="E8" s="3"/>
      <c r="F8" s="3"/>
      <c r="G8" s="3"/>
    </row>
    <row r="9" spans="1:7" ht="18.75" x14ac:dyDescent="0.3">
      <c r="A9" s="1"/>
      <c r="B9" s="30" t="s">
        <v>5</v>
      </c>
      <c r="C9" s="28"/>
      <c r="D9" s="8">
        <f>IF(ISERROR(-PMT(D6/D8,D10,D5)),"",-PMT(D6/D8,D10,D5))</f>
        <v>3160.3401174648184</v>
      </c>
      <c r="E9" s="3"/>
      <c r="F9" s="3"/>
      <c r="G9" s="3"/>
    </row>
    <row r="10" spans="1:7" ht="18.75" x14ac:dyDescent="0.3">
      <c r="A10" s="1"/>
      <c r="B10" s="30" t="s">
        <v>6</v>
      </c>
      <c r="C10" s="28"/>
      <c r="D10" s="9">
        <f>D7*12</f>
        <v>360</v>
      </c>
      <c r="E10" s="3"/>
      <c r="F10" s="3"/>
      <c r="G10" s="3"/>
    </row>
    <row r="11" spans="1:7" ht="18.75" x14ac:dyDescent="0.3">
      <c r="A11" s="1"/>
      <c r="B11" s="3"/>
      <c r="C11" s="3"/>
      <c r="D11" s="3"/>
      <c r="E11" s="3"/>
      <c r="F11" s="3"/>
      <c r="G11" s="3"/>
    </row>
    <row r="12" spans="1:7" ht="18.75" x14ac:dyDescent="0.3">
      <c r="A12" s="1"/>
      <c r="B12" s="10"/>
      <c r="C12" s="10"/>
      <c r="D12" s="10"/>
      <c r="E12" s="10"/>
      <c r="F12" s="10"/>
      <c r="G12" s="10"/>
    </row>
    <row r="13" spans="1:7" ht="18.75" x14ac:dyDescent="0.3">
      <c r="A13" s="1"/>
      <c r="B13" s="10"/>
      <c r="C13" s="10"/>
      <c r="D13" s="10"/>
      <c r="E13" s="10"/>
      <c r="F13" s="10"/>
      <c r="G13" s="10"/>
    </row>
    <row r="14" spans="1:7" ht="18.75" x14ac:dyDescent="0.3">
      <c r="A14" s="1"/>
      <c r="B14" s="26" t="s">
        <v>12</v>
      </c>
      <c r="C14" s="27"/>
      <c r="D14" s="27"/>
      <c r="E14" s="27"/>
      <c r="F14" s="27"/>
      <c r="G14" s="28"/>
    </row>
    <row r="15" spans="1:7" ht="18.75" x14ac:dyDescent="0.3">
      <c r="A15" s="1"/>
      <c r="B15" s="11" t="s">
        <v>7</v>
      </c>
      <c r="C15" s="12" t="s">
        <v>8</v>
      </c>
      <c r="D15" s="12" t="s">
        <v>8</v>
      </c>
      <c r="E15" s="11" t="s">
        <v>9</v>
      </c>
      <c r="F15" s="12" t="s">
        <v>10</v>
      </c>
      <c r="G15" s="13" t="s">
        <v>11</v>
      </c>
    </row>
    <row r="16" spans="1:7" ht="18.75" x14ac:dyDescent="0.3">
      <c r="A16" s="1"/>
      <c r="B16" s="14">
        <f>D6-0.02</f>
        <v>4.4999999999999998E-2</v>
      </c>
      <c r="C16" s="15">
        <f>D9</f>
        <v>3160.3401174648184</v>
      </c>
      <c r="D16" s="16">
        <f>IF(ISERROR(-PMT(B16/D8,D10,D5)),"",-PMT(B16/D8,D10,D5))</f>
        <v>2533.4265491294036</v>
      </c>
      <c r="E16" s="16">
        <f>IF(ISERROR(D9-D16),"",(D9-D16))</f>
        <v>626.91356833541477</v>
      </c>
      <c r="F16" s="17">
        <f>D8</f>
        <v>12</v>
      </c>
      <c r="G16" s="16">
        <f>IF(ISERROR(E16*F16),"",(E16*F16))</f>
        <v>7522.9628200249772</v>
      </c>
    </row>
    <row r="17" spans="1:7" ht="18.75" x14ac:dyDescent="0.3">
      <c r="A17" s="1"/>
      <c r="B17" s="14">
        <f>D6-0.01</f>
        <v>5.5E-2</v>
      </c>
      <c r="C17" s="15">
        <f>D9</f>
        <v>3160.3401174648184</v>
      </c>
      <c r="D17" s="16">
        <f>IF(ISERROR(-PMT(B17/D8,D10,D5)),"",-PMT(B17/D8,D10,D5))</f>
        <v>2838.9450067350144</v>
      </c>
      <c r="E17" s="16">
        <f>IF(ISERROR(D9-D17),"",D9-D17)</f>
        <v>321.39511072980395</v>
      </c>
      <c r="F17" s="17">
        <f>D8</f>
        <v>12</v>
      </c>
      <c r="G17" s="16">
        <f>IF(ISERROR(E17*F17),"",(E17*F17))</f>
        <v>3856.7413287576474</v>
      </c>
    </row>
    <row r="18" spans="1:7" ht="18.75" x14ac:dyDescent="0.3">
      <c r="A18" s="1"/>
      <c r="B18" s="29" t="s">
        <v>13</v>
      </c>
      <c r="C18" s="27"/>
      <c r="D18" s="27"/>
      <c r="E18" s="27"/>
      <c r="F18" s="28"/>
      <c r="G18" s="18">
        <f>SUM(G16:G17)</f>
        <v>11379.704148782625</v>
      </c>
    </row>
    <row r="19" spans="1:7" ht="18.75" x14ac:dyDescent="0.3">
      <c r="A19" s="1"/>
      <c r="B19" s="10"/>
      <c r="C19" s="10"/>
      <c r="D19" s="10"/>
      <c r="E19" s="10"/>
      <c r="F19" s="10"/>
      <c r="G19" s="10"/>
    </row>
    <row r="20" spans="1:7" ht="18.75" x14ac:dyDescent="0.3">
      <c r="A20" s="1"/>
      <c r="B20" s="26" t="s">
        <v>14</v>
      </c>
      <c r="C20" s="27"/>
      <c r="D20" s="27"/>
      <c r="E20" s="27"/>
      <c r="F20" s="27"/>
      <c r="G20" s="28"/>
    </row>
    <row r="21" spans="1:7" ht="18.75" x14ac:dyDescent="0.3">
      <c r="A21" s="1"/>
      <c r="B21" s="11" t="s">
        <v>7</v>
      </c>
      <c r="C21" s="12" t="s">
        <v>8</v>
      </c>
      <c r="D21" s="12" t="s">
        <v>8</v>
      </c>
      <c r="E21" s="11" t="s">
        <v>9</v>
      </c>
      <c r="F21" s="12" t="s">
        <v>10</v>
      </c>
      <c r="G21" s="13" t="s">
        <v>11</v>
      </c>
    </row>
    <row r="22" spans="1:7" ht="18.75" x14ac:dyDescent="0.3">
      <c r="A22" s="1"/>
      <c r="B22" s="14">
        <f>D6-0.01</f>
        <v>5.5E-2</v>
      </c>
      <c r="C22" s="15">
        <f>D9</f>
        <v>3160.3401174648184</v>
      </c>
      <c r="D22" s="16">
        <f>IF(ISERROR(-PMT(B22/D8,D10,D5)),"",-PMT(B22/D8,D10,D5))</f>
        <v>2838.9450067350144</v>
      </c>
      <c r="E22" s="16">
        <f>IF(ISERROR(D9-D22),"",(D9-D22))</f>
        <v>321.39511072980395</v>
      </c>
      <c r="F22" s="17">
        <f>D8</f>
        <v>12</v>
      </c>
      <c r="G22" s="16">
        <f>IF(ISERROR(E22*F22),"",(E22*F22))</f>
        <v>3856.7413287576474</v>
      </c>
    </row>
    <row r="23" spans="1:7" ht="18.75" x14ac:dyDescent="0.3">
      <c r="A23" s="1"/>
      <c r="B23" s="14">
        <f>D6-0.01</f>
        <v>5.5E-2</v>
      </c>
      <c r="C23" s="15">
        <f>D9</f>
        <v>3160.3401174648184</v>
      </c>
      <c r="D23" s="16">
        <f>IF(ISERROR(-PMT(B23/D8,D10,D5)),"",-PMT(B23/D8,D10,D5))</f>
        <v>2838.9450067350144</v>
      </c>
      <c r="E23" s="16">
        <f>IF(ISERROR(D9-D23),"",(D9-D23))</f>
        <v>321.39511072980395</v>
      </c>
      <c r="F23" s="17">
        <f>D8</f>
        <v>12</v>
      </c>
      <c r="G23" s="16">
        <f>IF(ISERROR(E23*F23),"",(E23*F23))</f>
        <v>3856.7413287576474</v>
      </c>
    </row>
    <row r="24" spans="1:7" ht="18.75" x14ac:dyDescent="0.3">
      <c r="A24" s="1"/>
      <c r="B24" s="29" t="s">
        <v>15</v>
      </c>
      <c r="C24" s="27"/>
      <c r="D24" s="27"/>
      <c r="E24" s="27"/>
      <c r="F24" s="28"/>
      <c r="G24" s="18">
        <f>SUM(G22:G23)</f>
        <v>7713.4826575152947</v>
      </c>
    </row>
    <row r="25" spans="1:7" ht="18.75" x14ac:dyDescent="0.3">
      <c r="A25" s="1"/>
      <c r="B25" s="10"/>
      <c r="C25" s="10"/>
      <c r="D25" s="10"/>
      <c r="E25" s="10"/>
      <c r="F25" s="10"/>
      <c r="G25" s="10"/>
    </row>
    <row r="26" spans="1:7" ht="18.75" x14ac:dyDescent="0.3">
      <c r="A26" s="1"/>
      <c r="B26" s="26" t="s">
        <v>16</v>
      </c>
      <c r="C26" s="27"/>
      <c r="D26" s="27"/>
      <c r="E26" s="27"/>
      <c r="F26" s="27"/>
      <c r="G26" s="28"/>
    </row>
    <row r="27" spans="1:7" ht="18.75" x14ac:dyDescent="0.3">
      <c r="A27" s="1"/>
      <c r="B27" s="19" t="s">
        <v>7</v>
      </c>
      <c r="C27" s="20" t="s">
        <v>8</v>
      </c>
      <c r="D27" s="20" t="s">
        <v>8</v>
      </c>
      <c r="E27" s="21" t="s">
        <v>9</v>
      </c>
      <c r="F27" s="21" t="s">
        <v>10</v>
      </c>
      <c r="G27" s="20" t="s">
        <v>11</v>
      </c>
    </row>
    <row r="28" spans="1:7" ht="18.75" x14ac:dyDescent="0.3">
      <c r="A28" s="1"/>
      <c r="B28" s="22">
        <f>D6-0.01</f>
        <v>5.5E-2</v>
      </c>
      <c r="C28" s="23">
        <f>D9</f>
        <v>3160.3401174648184</v>
      </c>
      <c r="D28" s="24">
        <f>IF(ISERROR(-PMT(B28/D8,D10,D5)),"",-PMT(B28/D8,D10,D5))</f>
        <v>2838.9450067350144</v>
      </c>
      <c r="E28" s="23">
        <f>IF(ISERROR(C28-D28),"",(C28-D28))</f>
        <v>321.39511072980395</v>
      </c>
      <c r="F28" s="25">
        <f>D8</f>
        <v>12</v>
      </c>
      <c r="G28" s="23">
        <f>IF(ISERROR(E28*F28),"",(E28*F28))</f>
        <v>3856.7413287576474</v>
      </c>
    </row>
    <row r="29" spans="1:7" ht="18.75" x14ac:dyDescent="0.3">
      <c r="A29" s="1"/>
      <c r="B29" s="29" t="s">
        <v>17</v>
      </c>
      <c r="C29" s="27"/>
      <c r="D29" s="27"/>
      <c r="E29" s="27"/>
      <c r="F29" s="28"/>
      <c r="G29" s="18">
        <f>SUM(G28)</f>
        <v>3856.7413287576474</v>
      </c>
    </row>
  </sheetData>
  <mergeCells count="12">
    <mergeCell ref="B10:C10"/>
    <mergeCell ref="B5:C5"/>
    <mergeCell ref="B6:C6"/>
    <mergeCell ref="B7:C7"/>
    <mergeCell ref="B8:C8"/>
    <mergeCell ref="B9:C9"/>
    <mergeCell ref="B26:G26"/>
    <mergeCell ref="B29:F29"/>
    <mergeCell ref="B14:G14"/>
    <mergeCell ref="B18:F18"/>
    <mergeCell ref="B20:G20"/>
    <mergeCell ref="B24:F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Shilling</dc:creator>
  <cp:lastModifiedBy>Kathleen Shilling</cp:lastModifiedBy>
  <dcterms:created xsi:type="dcterms:W3CDTF">2025-04-17T16:35:31Z</dcterms:created>
  <dcterms:modified xsi:type="dcterms:W3CDTF">2025-04-21T14:22:23Z</dcterms:modified>
</cp:coreProperties>
</file>